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ccf1771b657a05/TOGA LEARNING/Clientes TOGA/CITIBANAMEX/Educación Financiera Citibanamex/Video Curso Edufin Impact Hub/"/>
    </mc:Choice>
  </mc:AlternateContent>
  <xr:revisionPtr revIDLastSave="370" documentId="8_{5F461F8F-592F-4825-94DB-211CF3AC729D}" xr6:coauthVersionLast="47" xr6:coauthVersionMax="47" xr10:uidLastSave="{EB25B739-6363-45E6-BC67-65B92B225900}"/>
  <bookViews>
    <workbookView xWindow="-120" yWindow="-120" windowWidth="29040" windowHeight="15720" xr2:uid="{19C281A9-62A4-4625-866A-2A09A4B48B8C}"/>
  </bookViews>
  <sheets>
    <sheet name="Formato" sheetId="1" r:id="rId1"/>
    <sheet name="Hoja1" sheetId="2" state="hidden" r:id="rId2"/>
    <sheet name="Formato edufin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3" l="1"/>
  <c r="O33" i="3"/>
  <c r="O34" i="3"/>
  <c r="O36" i="3"/>
  <c r="O37" i="3"/>
  <c r="O31" i="3"/>
  <c r="R32" i="3"/>
  <c r="R33" i="3" s="1"/>
  <c r="N33" i="3"/>
  <c r="N35" i="3" s="1"/>
  <c r="N36" i="3" s="1"/>
  <c r="L32" i="3"/>
  <c r="L24" i="3"/>
  <c r="H23" i="3"/>
  <c r="H30" i="3"/>
  <c r="H32" i="3" s="1"/>
  <c r="L21" i="3" s="1"/>
  <c r="D28" i="3"/>
  <c r="D26" i="3"/>
  <c r="H12" i="3"/>
  <c r="H14" i="3" s="1"/>
  <c r="H16" i="3" s="1"/>
  <c r="D12" i="3"/>
  <c r="D14" i="3" s="1"/>
  <c r="L11" i="3"/>
  <c r="L12" i="3" s="1"/>
  <c r="L13" i="3" s="1"/>
  <c r="M10" i="3"/>
  <c r="H16" i="1"/>
  <c r="H32" i="1"/>
  <c r="L21" i="1" s="1"/>
  <c r="L12" i="1"/>
  <c r="L13" i="1" s="1"/>
  <c r="M8" i="1"/>
  <c r="M9" i="1"/>
  <c r="M10" i="1"/>
  <c r="M11" i="1"/>
  <c r="M7" i="1"/>
  <c r="L11" i="1"/>
  <c r="D26" i="1"/>
  <c r="D28" i="1" s="1"/>
  <c r="H12" i="1"/>
  <c r="H14" i="1" s="1"/>
  <c r="D12" i="1"/>
  <c r="D14" i="1" s="1"/>
  <c r="M11" i="3" l="1"/>
  <c r="L35" i="3"/>
  <c r="M8" i="3"/>
  <c r="M9" i="3"/>
  <c r="N37" i="3"/>
  <c r="L25" i="3"/>
  <c r="M21" i="3" s="1"/>
  <c r="D16" i="3"/>
  <c r="D17" i="3" s="1"/>
  <c r="M7" i="3"/>
  <c r="L25" i="1"/>
  <c r="L26" i="1" s="1"/>
  <c r="M25" i="1"/>
  <c r="M24" i="1"/>
  <c r="M23" i="1"/>
  <c r="M22" i="1"/>
  <c r="L27" i="1"/>
  <c r="D16" i="1"/>
  <c r="D17" i="1" s="1"/>
  <c r="L37" i="3" l="1"/>
  <c r="L36" i="3"/>
  <c r="L26" i="3"/>
  <c r="L27" i="3" s="1"/>
  <c r="M25" i="3"/>
  <c r="M23" i="3"/>
  <c r="M22" i="3"/>
  <c r="M24" i="3"/>
  <c r="M21" i="1"/>
  <c r="M33" i="3" l="1"/>
  <c r="M34" i="3"/>
  <c r="M37" i="3"/>
  <c r="M31" i="3"/>
  <c r="M32" i="3"/>
  <c r="M36" i="3"/>
</calcChain>
</file>

<file path=xl/sharedStrings.xml><?xml version="1.0" encoding="utf-8"?>
<sst xmlns="http://schemas.openxmlformats.org/spreadsheetml/2006/main" count="227" uniqueCount="87">
  <si>
    <t>Total</t>
  </si>
  <si>
    <t>Presupuesto para proyecto emprendedor</t>
  </si>
  <si>
    <r>
      <rPr>
        <b/>
        <sz val="11"/>
        <color theme="1"/>
        <rFont val="Calibri"/>
        <family val="2"/>
        <scheme val="minor"/>
      </rPr>
      <t>Instrucciónes:</t>
    </r>
    <r>
      <rPr>
        <sz val="11"/>
        <color theme="1"/>
        <rFont val="Calibri"/>
        <family val="2"/>
        <scheme val="minor"/>
      </rPr>
      <t xml:space="preserve"> Sustituye los tipos de gasto, cantidades y  valores de acuerdo con tu proyecto</t>
    </r>
  </si>
  <si>
    <t>Puesto</t>
  </si>
  <si>
    <t>Sueldo Mensual</t>
  </si>
  <si>
    <t>Prestaciones</t>
  </si>
  <si>
    <t>Asesor de Ventas</t>
  </si>
  <si>
    <t>10% Comisión</t>
  </si>
  <si>
    <t>Responsable de Redes Sociales</t>
  </si>
  <si>
    <t>Trabajo desde casa y apoyo renta coworking.</t>
  </si>
  <si>
    <t>Operador de servicio</t>
  </si>
  <si>
    <t>Seguro Gastos médicos mayores</t>
  </si>
  <si>
    <t>Contador</t>
  </si>
  <si>
    <t>Descuentos</t>
  </si>
  <si>
    <t>Emprendedor</t>
  </si>
  <si>
    <t>Sección: Personas</t>
  </si>
  <si>
    <t>Meses</t>
  </si>
  <si>
    <t>Total al año</t>
  </si>
  <si>
    <t>Porcentaje adicional</t>
  </si>
  <si>
    <t xml:space="preserve"> por prestaciones superiores a la ley</t>
  </si>
  <si>
    <t>Gasto por prestaciones</t>
  </si>
  <si>
    <t>Subtotal al año</t>
  </si>
  <si>
    <t>Al mes</t>
  </si>
  <si>
    <t>Requerimiento</t>
  </si>
  <si>
    <t>Costo Mensual</t>
  </si>
  <si>
    <t>Notas</t>
  </si>
  <si>
    <t>Proveedores</t>
  </si>
  <si>
    <t>Varia por cantidad a producir, comerciar o instalar.</t>
  </si>
  <si>
    <t>Local u oficina</t>
  </si>
  <si>
    <t>Cambia si rentas un espacio o lo haces en tu casa, considera mobiliario.</t>
  </si>
  <si>
    <t>Transporte</t>
  </si>
  <si>
    <t>Gasolina al mes más mensualidad de pago para entregar producto o prestar servicio.</t>
  </si>
  <si>
    <t>Maquinaria</t>
  </si>
  <si>
    <t>Incluye herramientas o accesorios especiales</t>
  </si>
  <si>
    <t>Equipo de cómputo y comunicación</t>
  </si>
  <si>
    <t>Incluye software y telefonía</t>
  </si>
  <si>
    <t>Sección: Productos</t>
  </si>
  <si>
    <t>Total al mes</t>
  </si>
  <si>
    <t>Diseño gráfico</t>
  </si>
  <si>
    <t>Un diferenciador para darte a conocer con tu marca, logotipo, slogan, mascota, colores e imágenes en un manual de identidad. El costo único lo dividimos en 12 meses.</t>
  </si>
  <si>
    <t>Página Web</t>
  </si>
  <si>
    <t>Pagina para mostrar tus productos y venderlos en internet o reservaciones.</t>
  </si>
  <si>
    <t>Publicidad en buscadores y redes sociales</t>
  </si>
  <si>
    <t>Estima un presupuesto para aparecer en los buscadores de Google</t>
  </si>
  <si>
    <t>Publicidad impresa</t>
  </si>
  <si>
    <t>Folletos, Menús, lonas</t>
  </si>
  <si>
    <t>Anuncios en medios</t>
  </si>
  <si>
    <t>Revista local, periódicos, directorios etc.</t>
  </si>
  <si>
    <t>Sección: Publicidad</t>
  </si>
  <si>
    <t>Salud + 10% Comisión</t>
  </si>
  <si>
    <t>Préstamo</t>
  </si>
  <si>
    <t>Pago Mensual</t>
  </si>
  <si>
    <t>Monto del préstamo</t>
  </si>
  <si>
    <t>Interés del 28% al año a un plazo de 24 meses.</t>
  </si>
  <si>
    <t>$5,489 + IVA</t>
  </si>
  <si>
    <t>Al año</t>
  </si>
  <si>
    <t>Incluye el capital y los intereses pagados</t>
  </si>
  <si>
    <t>Sección: Préstamos</t>
  </si>
  <si>
    <t>Sección</t>
  </si>
  <si>
    <t>Monto anual</t>
  </si>
  <si>
    <t>Personas</t>
  </si>
  <si>
    <t>Producto</t>
  </si>
  <si>
    <t>Publicidad</t>
  </si>
  <si>
    <t>Subtotal</t>
  </si>
  <si>
    <t>Contingencias (15%)</t>
  </si>
  <si>
    <t>Resumen: General</t>
  </si>
  <si>
    <t>Préstamos</t>
  </si>
  <si>
    <t>Proporción</t>
  </si>
  <si>
    <t>Resumen: Ajustado</t>
  </si>
  <si>
    <t>Responsabilidad</t>
  </si>
  <si>
    <t>Ventas y Redes Sociales</t>
  </si>
  <si>
    <t>Socio con acciones</t>
  </si>
  <si>
    <t>Operaciones</t>
  </si>
  <si>
    <t>Administración</t>
  </si>
  <si>
    <t>Seccion: Ajuste para Personas</t>
  </si>
  <si>
    <t>Intereses por préstamo familiar</t>
  </si>
  <si>
    <t>CONCEPTO</t>
  </si>
  <si>
    <t>CANTIDAD</t>
  </si>
  <si>
    <t>#</t>
  </si>
  <si>
    <t>Sistema</t>
  </si>
  <si>
    <t>Administrativos</t>
  </si>
  <si>
    <t>Sección: Administrativos</t>
  </si>
  <si>
    <t>Enero - Jun</t>
  </si>
  <si>
    <t>Julio - Dic</t>
  </si>
  <si>
    <t>Contingencias 15%</t>
  </si>
  <si>
    <t>Presupuesto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</si>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</sst>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6" fontId="2" fillId="0" borderId="3" xfId="0" applyNumberFormat="1" applyFont="1" applyBorder="1" applyAlignment="1">
      <alignment vertical="center" wrapText="1"/>
    </xf>
    <xf numFmtId="6" fontId="3" fillId="0" borderId="3" xfId="0" applyNumberFormat="1" applyFont="1" applyBorder="1" applyAlignment="1">
      <alignment vertical="center" wrapText="1"/>
    </xf>
    <xf numFmtId="0" fontId="0" fillId="0" borderId="5" xfId="0" applyBorder="1"/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3" xfId="0" applyFont="1" applyBorder="1" applyAlignment="1">
      <alignment vertical="center" wrapText="1"/>
    </xf>
    <xf numFmtId="9" fontId="2" fillId="0" borderId="3" xfId="0" applyNumberFormat="1" applyFont="1" applyBorder="1" applyAlignment="1">
      <alignment vertical="center" wrapText="1"/>
    </xf>
    <xf numFmtId="6" fontId="3" fillId="2" borderId="3" xfId="0" applyNumberFormat="1" applyFont="1" applyFill="1" applyBorder="1" applyAlignment="1">
      <alignment vertical="center" wrapText="1"/>
    </xf>
    <xf numFmtId="6" fontId="2" fillId="0" borderId="8" xfId="0" applyNumberFormat="1" applyFont="1" applyBorder="1" applyAlignment="1">
      <alignment vertical="center" wrapText="1"/>
    </xf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vertical="center" wrapText="1"/>
    </xf>
    <xf numFmtId="9" fontId="6" fillId="0" borderId="3" xfId="0" applyNumberFormat="1" applyFont="1" applyBorder="1" applyAlignment="1">
      <alignment vertical="center" wrapText="1"/>
    </xf>
    <xf numFmtId="6" fontId="2" fillId="0" borderId="6" xfId="0" applyNumberFormat="1" applyFont="1" applyBorder="1" applyAlignment="1">
      <alignment vertical="center" wrapText="1"/>
    </xf>
    <xf numFmtId="6" fontId="2" fillId="0" borderId="7" xfId="0" applyNumberFormat="1" applyFont="1" applyBorder="1" applyAlignment="1">
      <alignment vertical="center" wrapText="1"/>
    </xf>
    <xf numFmtId="9" fontId="6" fillId="0" borderId="3" xfId="0" applyNumberFormat="1" applyFont="1" applyBorder="1" applyAlignment="1">
      <alignment horizontal="left" vertical="center" wrapText="1" indent="8"/>
    </xf>
    <xf numFmtId="9" fontId="2" fillId="0" borderId="3" xfId="0" applyNumberFormat="1" applyFont="1" applyBorder="1" applyAlignment="1">
      <alignment horizontal="left" vertical="center" wrapText="1"/>
    </xf>
    <xf numFmtId="6" fontId="0" fillId="0" borderId="1" xfId="0" applyNumberFormat="1" applyBorder="1"/>
    <xf numFmtId="0" fontId="0" fillId="0" borderId="12" xfId="0" applyBorder="1"/>
    <xf numFmtId="0" fontId="0" fillId="0" borderId="13" xfId="0" applyBorder="1"/>
    <xf numFmtId="164" fontId="0" fillId="0" borderId="11" xfId="1" applyNumberFormat="1" applyFont="1" applyBorder="1"/>
    <xf numFmtId="164" fontId="1" fillId="0" borderId="11" xfId="1" applyNumberFormat="1" applyFont="1" applyBorder="1"/>
    <xf numFmtId="9" fontId="0" fillId="0" borderId="11" xfId="2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 anual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Formato!$L$6</c:f>
              <c:strCache>
                <c:ptCount val="1"/>
                <c:pt idx="0">
                  <c:v>Monto anual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7A-4595-A9EA-4F661E6125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7A-4595-A9EA-4F661E6125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7A-4595-A9EA-4F661E6125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7A-4595-A9EA-4F661E6125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Formato!$K$7:$K$10</c:f>
              <c:strCache>
                <c:ptCount val="4"/>
                <c:pt idx="0">
                  <c:v>Personas</c:v>
                </c:pt>
                <c:pt idx="1">
                  <c:v>Producto</c:v>
                </c:pt>
                <c:pt idx="2">
                  <c:v>Publicidad</c:v>
                </c:pt>
                <c:pt idx="3">
                  <c:v>Préstamos</c:v>
                </c:pt>
              </c:strCache>
            </c:strRef>
          </c:cat>
          <c:val>
            <c:numRef>
              <c:f>Formato!$L$7:$L$10</c:f>
              <c:numCache>
                <c:formatCode>"$"#,##0_);[Red]\("$"#,##0\)</c:formatCode>
                <c:ptCount val="4"/>
                <c:pt idx="0">
                  <c:v>960000</c:v>
                </c:pt>
                <c:pt idx="1">
                  <c:v>216000</c:v>
                </c:pt>
                <c:pt idx="2">
                  <c:v>78000</c:v>
                </c:pt>
                <c:pt idx="3">
                  <c:v>65866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5-464A-8A32-FE14C9A94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anual ajustado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Formato!$L$20</c:f>
              <c:strCache>
                <c:ptCount val="1"/>
                <c:pt idx="0">
                  <c:v>Monto anual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1A-4900-8FD9-D49FACDEA7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1A-4900-8FD9-D49FACDEA7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1A-4900-8FD9-D49FACDEA7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1A-4900-8FD9-D49FACDEA7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Formato!$K$21:$K$24</c:f>
              <c:strCache>
                <c:ptCount val="4"/>
                <c:pt idx="0">
                  <c:v>Personas</c:v>
                </c:pt>
                <c:pt idx="1">
                  <c:v>Producto</c:v>
                </c:pt>
                <c:pt idx="2">
                  <c:v>Publicidad</c:v>
                </c:pt>
                <c:pt idx="3">
                  <c:v>Préstamos</c:v>
                </c:pt>
              </c:strCache>
            </c:strRef>
          </c:cat>
          <c:val>
            <c:numRef>
              <c:f>Formato!$L$21:$L$24</c:f>
              <c:numCache>
                <c:formatCode>"$"#,##0_);[Red]\("$"#,##0\)</c:formatCode>
                <c:ptCount val="4"/>
                <c:pt idx="0">
                  <c:v>360000</c:v>
                </c:pt>
                <c:pt idx="1">
                  <c:v>216000</c:v>
                </c:pt>
                <c:pt idx="2">
                  <c:v>78000</c:v>
                </c:pt>
                <c:pt idx="3">
                  <c:v>65866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6-40E8-AB1B-86F7C626F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 anual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'Formato edufin'!$L$6</c:f>
              <c:strCache>
                <c:ptCount val="1"/>
                <c:pt idx="0">
                  <c:v>Monto anual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66-43E6-BF77-87BA30FE1B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66-43E6-BF77-87BA30FE1B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66-43E6-BF77-87BA30FE1B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66-43E6-BF77-87BA30FE1B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'Formato edufin'!$K$7:$K$10</c:f>
              <c:strCache>
                <c:ptCount val="4"/>
                <c:pt idx="0">
                  <c:v>Personas</c:v>
                </c:pt>
                <c:pt idx="1">
                  <c:v>Producto</c:v>
                </c:pt>
                <c:pt idx="2">
                  <c:v>Publicidad</c:v>
                </c:pt>
                <c:pt idx="3">
                  <c:v>Préstamos</c:v>
                </c:pt>
              </c:strCache>
            </c:strRef>
          </c:cat>
          <c:val>
            <c:numRef>
              <c:f>'Formato edufin'!$L$7:$L$10</c:f>
              <c:numCache>
                <c:formatCode>"$"#,##0_);[Red]\("$"#,##0\)</c:formatCode>
                <c:ptCount val="4"/>
                <c:pt idx="0">
                  <c:v>960000</c:v>
                </c:pt>
                <c:pt idx="1">
                  <c:v>216000</c:v>
                </c:pt>
                <c:pt idx="2">
                  <c:v>78000</c:v>
                </c:pt>
                <c:pt idx="3">
                  <c:v>65866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66-43E6-BF77-87BA30FE1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Presupuesto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'Formato edufin'!$L$20</c:f>
              <c:strCache>
                <c:ptCount val="1"/>
                <c:pt idx="0">
                  <c:v>Monto anual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E2-46BA-B0D5-8972A6DA6A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E2-46BA-B0D5-8972A6DA6A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E2-46BA-B0D5-8972A6DA6A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E2-46BA-B0D5-8972A6DA6A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'Formato edufin'!$K$21:$K$24</c:f>
              <c:strCache>
                <c:ptCount val="4"/>
                <c:pt idx="0">
                  <c:v>Personas</c:v>
                </c:pt>
                <c:pt idx="1">
                  <c:v>Sistema</c:v>
                </c:pt>
                <c:pt idx="2">
                  <c:v>Publicidad</c:v>
                </c:pt>
                <c:pt idx="3">
                  <c:v>Administrativos</c:v>
                </c:pt>
              </c:strCache>
            </c:strRef>
          </c:cat>
          <c:val>
            <c:numRef>
              <c:f>'Formato edufin'!$L$21:$L$24</c:f>
              <c:numCache>
                <c:formatCode>"$"#,##0_);[Red]\("$"#,##0\)</c:formatCode>
                <c:ptCount val="4"/>
                <c:pt idx="0">
                  <c:v>780000</c:v>
                </c:pt>
                <c:pt idx="1">
                  <c:v>380000</c:v>
                </c:pt>
                <c:pt idx="2">
                  <c:v>78000</c:v>
                </c:pt>
                <c:pt idx="3">
                  <c:v>126000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E2-46BA-B0D5-8972A6DA6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409574</xdr:colOff>
      <xdr:row>4</xdr:row>
      <xdr:rowOff>290513</xdr:rowOff>
    </xdr:from>
    <xdr:to>
      <xdr:col>21</xdr:col>
      <xdr:colOff>361949</xdr:colOff>
      <xdr:row>12</xdr:row>
      <xdr:rowOff>266700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DA44DC-8C8A-4475-CAF8-7A41C044D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371475</xdr:colOff>
      <xdr:row>18</xdr:row>
      <xdr:rowOff>261937</xdr:rowOff>
    </xdr:from>
    <xdr:to>
      <xdr:col>21</xdr:col>
      <xdr:colOff>352425</xdr:colOff>
      <xdr:row>25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37CF5F-E57A-FED3-30F2-E70F7E0A9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409574</xdr:colOff>
      <xdr:row>4</xdr:row>
      <xdr:rowOff>290513</xdr:rowOff>
    </xdr:from>
    <xdr:to>
      <xdr:col>21</xdr:col>
      <xdr:colOff>361949</xdr:colOff>
      <xdr:row>12</xdr:row>
      <xdr:rowOff>266700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D9ED5D-8425-4FC6-9189-D18CA0DBF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361233</xdr:colOff>
      <xdr:row>18</xdr:row>
      <xdr:rowOff>261937</xdr:rowOff>
    </xdr:from>
    <xdr:to>
      <xdr:col>21</xdr:col>
      <xdr:colOff>342183</xdr:colOff>
      <xdr:row>25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E1ACA8-0452-404A-9DAC-26E28A9EA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E67F-B348-492B-9D57-A4F99DED1854}">
  <dimension ref="B2:M32"/>
  <sheetViews>
    <sheetView tabSelected="1" topLeftCell="F20" zoomScale="93" zoomScaleNormal="60" workbookViewId="0">
      <selection activeCell="A24" sqref="A24"/>
    </sheetView>
  </sheetViews>
  <sheetFormatPr baseColWidth="10" defaultColWidth="11.42578125" defaultRowHeight="15" x14ac:dyDescent="0.25"/>
  <cols>
    <col min="1" max="1" width="11.42578125" style="1"/>
    <col min="2" max="2" width="4" style="1" customWidth="1"/>
    <col min="3" max="3" width="30.85546875" style="1" customWidth="1"/>
    <col min="4" max="4" width="14.5703125" style="1" customWidth="1"/>
    <col min="5" max="5" width="28.7109375" style="1" customWidth="1"/>
    <col min="6" max="6" width="19.28515625" style="1" customWidth="1"/>
    <col min="7" max="7" width="28.42578125" style="1" customWidth="1"/>
    <col min="8" max="8" width="19.28515625" style="1" customWidth="1"/>
    <col min="9" max="9" width="31.28515625" style="1" customWidth="1"/>
    <col min="10" max="12" width="19.28515625" style="1" customWidth="1"/>
    <col min="13" max="13" width="22" style="1" customWidth="1"/>
    <col min="14" max="16384" width="11.42578125" style="1"/>
  </cols>
  <sheetData>
    <row r="2" spans="2:13" x14ac:dyDescent="0.25">
      <c r="B2" s="2" t="s">
        <v>1</v>
      </c>
    </row>
    <row r="3" spans="2:13" x14ac:dyDescent="0.25">
      <c r="B3" s="1" t="s">
        <v>2</v>
      </c>
    </row>
    <row r="5" spans="2:13" ht="24" thickBot="1" x14ac:dyDescent="0.4">
      <c r="C5" s="9" t="s">
        <v>15</v>
      </c>
      <c r="G5" s="9" t="s">
        <v>36</v>
      </c>
      <c r="K5" s="9" t="s">
        <v>65</v>
      </c>
    </row>
    <row r="6" spans="2:13" ht="42.75" thickBot="1" x14ac:dyDescent="0.3">
      <c r="B6" s="7"/>
      <c r="C6" s="8" t="s">
        <v>3</v>
      </c>
      <c r="D6" s="3" t="s">
        <v>4</v>
      </c>
      <c r="E6" s="3" t="s">
        <v>5</v>
      </c>
      <c r="G6" s="8" t="s">
        <v>23</v>
      </c>
      <c r="H6" s="8" t="s">
        <v>24</v>
      </c>
      <c r="I6" s="8" t="s">
        <v>25</v>
      </c>
      <c r="K6" s="8" t="s">
        <v>58</v>
      </c>
      <c r="L6" s="8" t="s">
        <v>59</v>
      </c>
      <c r="M6" s="8" t="s">
        <v>67</v>
      </c>
    </row>
    <row r="7" spans="2:13" ht="30.75" thickBot="1" x14ac:dyDescent="0.3">
      <c r="B7" s="7"/>
      <c r="C7" s="8" t="s">
        <v>6</v>
      </c>
      <c r="D7" s="5">
        <v>13000</v>
      </c>
      <c r="E7" s="4" t="s">
        <v>7</v>
      </c>
      <c r="G7" s="8" t="s">
        <v>26</v>
      </c>
      <c r="H7" s="5">
        <v>4000</v>
      </c>
      <c r="I7" s="4" t="s">
        <v>27</v>
      </c>
      <c r="K7" s="8" t="s">
        <v>60</v>
      </c>
      <c r="L7" s="5">
        <v>960000</v>
      </c>
      <c r="M7" s="17">
        <f>L7/$L$11</f>
        <v>0.72734656396937269</v>
      </c>
    </row>
    <row r="8" spans="2:13" ht="45.75" thickBot="1" x14ac:dyDescent="0.3">
      <c r="B8" s="7"/>
      <c r="C8" s="8" t="s">
        <v>8</v>
      </c>
      <c r="D8" s="5">
        <v>6000</v>
      </c>
      <c r="E8" s="4" t="s">
        <v>9</v>
      </c>
      <c r="G8" s="8" t="s">
        <v>28</v>
      </c>
      <c r="H8" s="5">
        <v>6000</v>
      </c>
      <c r="I8" s="4" t="s">
        <v>29</v>
      </c>
      <c r="K8" s="8" t="s">
        <v>61</v>
      </c>
      <c r="L8" s="5">
        <v>216000</v>
      </c>
      <c r="M8" s="17">
        <f t="shared" ref="M8:M11" si="0">L8/$L$11</f>
        <v>0.16365297689310884</v>
      </c>
    </row>
    <row r="9" spans="2:13" ht="45.75" thickBot="1" x14ac:dyDescent="0.3">
      <c r="B9" s="7"/>
      <c r="C9" s="8" t="s">
        <v>10</v>
      </c>
      <c r="D9" s="5">
        <v>7000</v>
      </c>
      <c r="E9" s="4" t="s">
        <v>11</v>
      </c>
      <c r="G9" s="8" t="s">
        <v>30</v>
      </c>
      <c r="H9" s="5">
        <v>4500</v>
      </c>
      <c r="I9" s="4" t="s">
        <v>31</v>
      </c>
      <c r="K9" s="8" t="s">
        <v>62</v>
      </c>
      <c r="L9" s="5">
        <v>78000</v>
      </c>
      <c r="M9" s="17">
        <f t="shared" si="0"/>
        <v>5.9096908322511528E-2</v>
      </c>
    </row>
    <row r="10" spans="2:13" ht="30.75" thickBot="1" x14ac:dyDescent="0.3">
      <c r="B10" s="7"/>
      <c r="C10" s="8" t="s">
        <v>12</v>
      </c>
      <c r="D10" s="5">
        <v>4000</v>
      </c>
      <c r="E10" s="4" t="s">
        <v>13</v>
      </c>
      <c r="G10" s="8" t="s">
        <v>32</v>
      </c>
      <c r="H10" s="5">
        <v>1500</v>
      </c>
      <c r="I10" s="4" t="s">
        <v>33</v>
      </c>
      <c r="K10" s="8" t="s">
        <v>66</v>
      </c>
      <c r="L10" s="5">
        <v>65866</v>
      </c>
      <c r="M10" s="17">
        <f t="shared" si="0"/>
        <v>4.9903550815006976E-2</v>
      </c>
    </row>
    <row r="11" spans="2:13" ht="42.75" thickBot="1" x14ac:dyDescent="0.3">
      <c r="B11" s="7"/>
      <c r="C11" s="8" t="s">
        <v>14</v>
      </c>
      <c r="D11" s="5">
        <v>20000</v>
      </c>
      <c r="E11" s="4" t="s">
        <v>49</v>
      </c>
      <c r="G11" s="8" t="s">
        <v>34</v>
      </c>
      <c r="H11" s="5">
        <v>2000</v>
      </c>
      <c r="I11" s="4" t="s">
        <v>35</v>
      </c>
      <c r="K11" s="8" t="s">
        <v>63</v>
      </c>
      <c r="L11" s="5">
        <f>SUM(L7:L10)</f>
        <v>1319866</v>
      </c>
      <c r="M11" s="21">
        <f t="shared" si="0"/>
        <v>1</v>
      </c>
    </row>
    <row r="12" spans="2:13" ht="42.75" thickBot="1" x14ac:dyDescent="0.3">
      <c r="B12" s="7"/>
      <c r="C12" s="8" t="s">
        <v>37</v>
      </c>
      <c r="D12" s="6">
        <f>SUM(D7:D11)</f>
        <v>50000</v>
      </c>
      <c r="E12" s="4" t="s">
        <v>22</v>
      </c>
      <c r="G12" s="8" t="s">
        <v>37</v>
      </c>
      <c r="H12" s="6">
        <f>SUM(H7:H11)</f>
        <v>18000</v>
      </c>
      <c r="I12" s="4"/>
      <c r="K12" s="8" t="s">
        <v>64</v>
      </c>
      <c r="L12" s="5">
        <f>L11*M12</f>
        <v>197979.9</v>
      </c>
      <c r="M12" s="22">
        <v>0.15</v>
      </c>
    </row>
    <row r="13" spans="2:13" ht="21.75" thickBot="1" x14ac:dyDescent="0.3">
      <c r="C13" s="8" t="s">
        <v>16</v>
      </c>
      <c r="D13" s="10">
        <v>12</v>
      </c>
      <c r="E13" s="4"/>
      <c r="G13" s="8" t="s">
        <v>16</v>
      </c>
      <c r="H13" s="10">
        <v>12</v>
      </c>
      <c r="I13" s="4"/>
      <c r="K13" s="8" t="s">
        <v>17</v>
      </c>
      <c r="L13" s="12">
        <f>L11+L12</f>
        <v>1517845.9</v>
      </c>
      <c r="M13" s="10"/>
    </row>
    <row r="14" spans="2:13" ht="21.75" thickBot="1" x14ac:dyDescent="0.3">
      <c r="C14" s="8" t="s">
        <v>21</v>
      </c>
      <c r="D14" s="5">
        <f>+D12*D13</f>
        <v>600000</v>
      </c>
      <c r="E14" s="4"/>
      <c r="G14" s="8" t="s">
        <v>17</v>
      </c>
      <c r="H14" s="12">
        <f>+H12*H13</f>
        <v>216000</v>
      </c>
      <c r="I14" s="4"/>
    </row>
    <row r="15" spans="2:13" ht="30.75" thickBot="1" x14ac:dyDescent="0.3">
      <c r="C15" s="8" t="s">
        <v>18</v>
      </c>
      <c r="D15" s="11">
        <v>0.6</v>
      </c>
      <c r="E15" s="4" t="s">
        <v>19</v>
      </c>
      <c r="H15" s="1">
        <v>96000</v>
      </c>
    </row>
    <row r="16" spans="2:13" ht="21.75" thickBot="1" x14ac:dyDescent="0.3">
      <c r="C16" s="8" t="s">
        <v>20</v>
      </c>
      <c r="D16" s="5">
        <f>+D14*D15</f>
        <v>360000</v>
      </c>
      <c r="H16" s="23">
        <f>H14-H15</f>
        <v>120000</v>
      </c>
    </row>
    <row r="17" spans="3:13" ht="21.75" thickBot="1" x14ac:dyDescent="0.3">
      <c r="C17" s="8" t="s">
        <v>17</v>
      </c>
      <c r="D17" s="12">
        <f>+D14+D16</f>
        <v>960000</v>
      </c>
    </row>
    <row r="19" spans="3:13" ht="24" thickBot="1" x14ac:dyDescent="0.4">
      <c r="C19" s="9" t="s">
        <v>48</v>
      </c>
      <c r="G19" s="9" t="s">
        <v>57</v>
      </c>
      <c r="K19" s="9" t="s">
        <v>68</v>
      </c>
    </row>
    <row r="20" spans="3:13" ht="42.75" thickBot="1" x14ac:dyDescent="0.3">
      <c r="C20" s="8" t="s">
        <v>23</v>
      </c>
      <c r="D20" s="8" t="s">
        <v>24</v>
      </c>
      <c r="E20" s="8" t="s">
        <v>25</v>
      </c>
      <c r="G20" s="8" t="s">
        <v>50</v>
      </c>
      <c r="H20" s="8" t="s">
        <v>51</v>
      </c>
      <c r="I20" s="15" t="s">
        <v>25</v>
      </c>
      <c r="K20" s="8" t="s">
        <v>58</v>
      </c>
      <c r="L20" s="8" t="s">
        <v>59</v>
      </c>
      <c r="M20" s="8" t="s">
        <v>67</v>
      </c>
    </row>
    <row r="21" spans="3:13" ht="105.75" thickBot="1" x14ac:dyDescent="0.3">
      <c r="C21" s="8" t="s">
        <v>38</v>
      </c>
      <c r="D21" s="5">
        <v>500</v>
      </c>
      <c r="E21" s="4" t="s">
        <v>39</v>
      </c>
      <c r="G21" s="8" t="s">
        <v>52</v>
      </c>
      <c r="H21" s="13">
        <v>100000</v>
      </c>
      <c r="I21" s="16" t="s">
        <v>53</v>
      </c>
      <c r="J21" s="14"/>
      <c r="K21" s="8" t="s">
        <v>60</v>
      </c>
      <c r="L21" s="19">
        <f>H32</f>
        <v>360000</v>
      </c>
      <c r="M21" s="17">
        <f>L21/$L$25</f>
        <v>0.50009307287745219</v>
      </c>
    </row>
    <row r="22" spans="3:13" ht="45.75" thickBot="1" x14ac:dyDescent="0.3">
      <c r="C22" s="8" t="s">
        <v>40</v>
      </c>
      <c r="D22" s="5">
        <v>1000</v>
      </c>
      <c r="E22" s="4" t="s">
        <v>41</v>
      </c>
      <c r="G22" s="8" t="s">
        <v>22</v>
      </c>
      <c r="H22" s="13" t="s">
        <v>54</v>
      </c>
      <c r="I22" s="16"/>
      <c r="J22" s="14"/>
      <c r="K22" s="8" t="s">
        <v>61</v>
      </c>
      <c r="L22" s="20">
        <v>216000</v>
      </c>
      <c r="M22" s="17">
        <f t="shared" ref="M22:M25" si="1">L22/$L$25</f>
        <v>0.30005584372647132</v>
      </c>
    </row>
    <row r="23" spans="3:13" ht="63.75" thickBot="1" x14ac:dyDescent="0.3">
      <c r="C23" s="8" t="s">
        <v>42</v>
      </c>
      <c r="D23" s="5">
        <v>1500</v>
      </c>
      <c r="E23" s="4" t="s">
        <v>43</v>
      </c>
      <c r="G23" s="8" t="s">
        <v>55</v>
      </c>
      <c r="H23" s="12">
        <v>65866</v>
      </c>
      <c r="I23" s="16" t="s">
        <v>56</v>
      </c>
      <c r="K23" s="8" t="s">
        <v>62</v>
      </c>
      <c r="L23" s="20">
        <v>78000</v>
      </c>
      <c r="M23" s="17">
        <f t="shared" si="1"/>
        <v>0.10835349912344798</v>
      </c>
    </row>
    <row r="24" spans="3:13" ht="21.75" thickBot="1" x14ac:dyDescent="0.3">
      <c r="C24" s="8" t="s">
        <v>44</v>
      </c>
      <c r="D24" s="5">
        <v>500</v>
      </c>
      <c r="E24" s="4" t="s">
        <v>45</v>
      </c>
      <c r="K24" s="8" t="s">
        <v>66</v>
      </c>
      <c r="L24" s="20">
        <v>65866</v>
      </c>
      <c r="M24" s="17">
        <f t="shared" si="1"/>
        <v>9.1497584272628524E-2</v>
      </c>
    </row>
    <row r="25" spans="3:13" ht="30.75" thickBot="1" x14ac:dyDescent="0.4">
      <c r="C25" s="8" t="s">
        <v>46</v>
      </c>
      <c r="D25" s="5">
        <v>3000</v>
      </c>
      <c r="E25" s="4" t="s">
        <v>47</v>
      </c>
      <c r="G25" s="9" t="s">
        <v>74</v>
      </c>
      <c r="K25" s="8" t="s">
        <v>63</v>
      </c>
      <c r="L25" s="5">
        <f>SUM(L21:L24)</f>
        <v>719866</v>
      </c>
      <c r="M25" s="18">
        <f t="shared" si="1"/>
        <v>1</v>
      </c>
    </row>
    <row r="26" spans="3:13" ht="42.75" thickBot="1" x14ac:dyDescent="0.3">
      <c r="C26" s="8" t="s">
        <v>0</v>
      </c>
      <c r="D26" s="5">
        <f>SUM(D21:D25)</f>
        <v>6500</v>
      </c>
      <c r="E26" s="4"/>
      <c r="G26" s="8" t="s">
        <v>69</v>
      </c>
      <c r="H26" s="8" t="s">
        <v>4</v>
      </c>
      <c r="I26" s="15" t="s">
        <v>5</v>
      </c>
      <c r="K26" s="8" t="s">
        <v>64</v>
      </c>
      <c r="L26" s="5">
        <f>L25*M26</f>
        <v>107979.9</v>
      </c>
      <c r="M26" s="22">
        <v>0.15</v>
      </c>
    </row>
    <row r="27" spans="3:13" ht="39.6" customHeight="1" thickBot="1" x14ac:dyDescent="0.3">
      <c r="C27" s="8" t="s">
        <v>16</v>
      </c>
      <c r="D27" s="10">
        <v>12</v>
      </c>
      <c r="G27" s="8" t="s">
        <v>70</v>
      </c>
      <c r="H27" s="5">
        <v>10000</v>
      </c>
      <c r="I27" s="4" t="s">
        <v>71</v>
      </c>
      <c r="K27" s="8" t="s">
        <v>17</v>
      </c>
      <c r="L27" s="12">
        <f>L25+L26</f>
        <v>827845.9</v>
      </c>
      <c r="M27" s="10"/>
    </row>
    <row r="28" spans="3:13" ht="21.75" thickBot="1" x14ac:dyDescent="0.3">
      <c r="C28" s="8" t="s">
        <v>17</v>
      </c>
      <c r="D28" s="12">
        <f>+D26*D27</f>
        <v>78000</v>
      </c>
      <c r="G28" s="8" t="s">
        <v>72</v>
      </c>
      <c r="H28" s="5">
        <v>10000</v>
      </c>
      <c r="I28" s="4" t="s">
        <v>71</v>
      </c>
    </row>
    <row r="29" spans="3:13" ht="21.75" thickBot="1" x14ac:dyDescent="0.3">
      <c r="G29" s="8" t="s">
        <v>73</v>
      </c>
      <c r="H29" s="5">
        <v>10000</v>
      </c>
      <c r="I29" s="4" t="s">
        <v>71</v>
      </c>
    </row>
    <row r="30" spans="3:13" ht="21.75" thickBot="1" x14ac:dyDescent="0.3">
      <c r="G30" s="8" t="s">
        <v>0</v>
      </c>
      <c r="H30" s="5">
        <v>30000</v>
      </c>
      <c r="I30" s="4"/>
    </row>
    <row r="31" spans="3:13" ht="21.75" thickBot="1" x14ac:dyDescent="0.3">
      <c r="G31" s="8" t="s">
        <v>22</v>
      </c>
      <c r="H31" s="10">
        <v>12</v>
      </c>
    </row>
    <row r="32" spans="3:13" ht="21.75" thickBot="1" x14ac:dyDescent="0.3">
      <c r="G32" s="8" t="s">
        <v>17</v>
      </c>
      <c r="H32" s="12">
        <f>H30*H31</f>
        <v>360000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ECA5-2E96-45F4-8A89-9D28574908F4}">
  <dimension ref="B12:D20"/>
  <sheetViews>
    <sheetView topLeftCell="A6" workbookViewId="0">
      <selection activeCell="D14" sqref="D14:D20"/>
    </sheetView>
  </sheetViews>
  <sheetFormatPr baseColWidth="10" defaultRowHeight="15" x14ac:dyDescent="0.25"/>
  <cols>
    <col min="2" max="2" width="2.7109375" bestFit="1" customWidth="1"/>
    <col min="3" max="3" width="24.5703125" customWidth="1"/>
    <col min="4" max="4" width="19.140625" customWidth="1"/>
  </cols>
  <sheetData>
    <row r="12" spans="2:4" ht="15.75" thickBot="1" x14ac:dyDescent="0.3"/>
    <row r="13" spans="2:4" ht="21.75" thickBot="1" x14ac:dyDescent="0.3">
      <c r="B13" s="8" t="s">
        <v>78</v>
      </c>
      <c r="C13" s="8" t="s">
        <v>76</v>
      </c>
      <c r="D13" s="8" t="s">
        <v>77</v>
      </c>
    </row>
    <row r="14" spans="2:4" ht="21.75" thickBot="1" x14ac:dyDescent="0.3">
      <c r="B14" s="8">
        <v>1</v>
      </c>
      <c r="C14" s="8" t="s">
        <v>12</v>
      </c>
      <c r="D14" s="5">
        <v>4000</v>
      </c>
    </row>
    <row r="15" spans="2:4" ht="42.75" thickBot="1" x14ac:dyDescent="0.3">
      <c r="B15" s="8">
        <v>2</v>
      </c>
      <c r="C15" s="8" t="s">
        <v>8</v>
      </c>
      <c r="D15" s="5">
        <v>6000</v>
      </c>
    </row>
    <row r="16" spans="2:4" ht="21.75" thickBot="1" x14ac:dyDescent="0.3">
      <c r="B16" s="8">
        <v>3</v>
      </c>
      <c r="C16" s="8" t="s">
        <v>26</v>
      </c>
      <c r="D16" s="5">
        <v>4000</v>
      </c>
    </row>
    <row r="17" spans="2:4" ht="63.75" thickBot="1" x14ac:dyDescent="0.3">
      <c r="B17" s="8">
        <v>4</v>
      </c>
      <c r="C17" s="8" t="s">
        <v>34</v>
      </c>
      <c r="D17" s="5">
        <v>2000</v>
      </c>
    </row>
    <row r="18" spans="2:4" ht="21.75" thickBot="1" x14ac:dyDescent="0.3">
      <c r="B18" s="8">
        <v>5</v>
      </c>
      <c r="C18" s="8" t="s">
        <v>40</v>
      </c>
      <c r="D18" s="5">
        <v>1000</v>
      </c>
    </row>
    <row r="19" spans="2:4" ht="42.75" thickBot="1" x14ac:dyDescent="0.3">
      <c r="B19" s="8">
        <v>6</v>
      </c>
      <c r="C19" s="8" t="s">
        <v>44</v>
      </c>
      <c r="D19" s="5">
        <v>500</v>
      </c>
    </row>
    <row r="20" spans="2:4" ht="42.75" thickBot="1" x14ac:dyDescent="0.3">
      <c r="B20" s="8">
        <v>7</v>
      </c>
      <c r="C20" s="8" t="s">
        <v>75</v>
      </c>
      <c r="D20" s="5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8544-29C6-4762-B6D6-C12105A2D5CA}">
  <dimension ref="B2:R38"/>
  <sheetViews>
    <sheetView topLeftCell="A20" zoomScale="90" zoomScaleNormal="90" workbookViewId="0">
      <selection activeCell="M39" sqref="M39"/>
    </sheetView>
  </sheetViews>
  <sheetFormatPr baseColWidth="10" defaultColWidth="11.42578125" defaultRowHeight="15" x14ac:dyDescent="0.25"/>
  <cols>
    <col min="1" max="1" width="11.42578125" style="1"/>
    <col min="2" max="2" width="4" style="1" customWidth="1"/>
    <col min="3" max="3" width="30.85546875" style="1" customWidth="1"/>
    <col min="4" max="4" width="14.5703125" style="1" customWidth="1"/>
    <col min="5" max="5" width="28.7109375" style="1" customWidth="1"/>
    <col min="6" max="6" width="19.28515625" style="1" customWidth="1"/>
    <col min="7" max="7" width="28.42578125" style="1" customWidth="1"/>
    <col min="8" max="8" width="19.28515625" style="1" customWidth="1"/>
    <col min="9" max="9" width="31.28515625" style="1" customWidth="1"/>
    <col min="10" max="10" width="19.28515625" style="1" customWidth="1"/>
    <col min="11" max="11" width="22" style="1" customWidth="1"/>
    <col min="12" max="12" width="19.28515625" style="1" customWidth="1"/>
    <col min="13" max="13" width="10.85546875" style="1" customWidth="1"/>
    <col min="14" max="14" width="13.42578125" style="1" bestFit="1" customWidth="1"/>
    <col min="15" max="15" width="9" style="1" customWidth="1"/>
    <col min="16" max="17" width="11.42578125" style="1"/>
    <col min="18" max="18" width="12" style="1" bestFit="1" customWidth="1"/>
    <col min="19" max="16384" width="11.42578125" style="1"/>
  </cols>
  <sheetData>
    <row r="2" spans="2:13" x14ac:dyDescent="0.25">
      <c r="B2" s="2" t="s">
        <v>1</v>
      </c>
    </row>
    <row r="3" spans="2:13" x14ac:dyDescent="0.25">
      <c r="B3" s="1" t="s">
        <v>2</v>
      </c>
    </row>
    <row r="5" spans="2:13" ht="24" thickBot="1" x14ac:dyDescent="0.4">
      <c r="C5" s="9" t="s">
        <v>15</v>
      </c>
      <c r="G5" s="9" t="s">
        <v>36</v>
      </c>
      <c r="K5" s="9" t="s">
        <v>65</v>
      </c>
    </row>
    <row r="6" spans="2:13" ht="42.75" thickBot="1" x14ac:dyDescent="0.3">
      <c r="B6" s="7"/>
      <c r="C6" s="8" t="s">
        <v>3</v>
      </c>
      <c r="D6" s="3" t="s">
        <v>4</v>
      </c>
      <c r="E6" s="3" t="s">
        <v>5</v>
      </c>
      <c r="G6" s="8" t="s">
        <v>23</v>
      </c>
      <c r="H6" s="8" t="s">
        <v>24</v>
      </c>
      <c r="I6" s="8" t="s">
        <v>25</v>
      </c>
      <c r="K6" s="8" t="s">
        <v>58</v>
      </c>
      <c r="L6" s="8" t="s">
        <v>59</v>
      </c>
      <c r="M6" s="8" t="s">
        <v>67</v>
      </c>
    </row>
    <row r="7" spans="2:13" ht="30.75" thickBot="1" x14ac:dyDescent="0.3">
      <c r="B7" s="7"/>
      <c r="C7" s="8" t="s">
        <v>6</v>
      </c>
      <c r="D7" s="5">
        <v>13000</v>
      </c>
      <c r="E7" s="4" t="s">
        <v>7</v>
      </c>
      <c r="G7" s="8" t="s">
        <v>26</v>
      </c>
      <c r="H7" s="5">
        <v>4000</v>
      </c>
      <c r="I7" s="4" t="s">
        <v>27</v>
      </c>
      <c r="K7" s="8" t="s">
        <v>60</v>
      </c>
      <c r="L7" s="5">
        <v>960000</v>
      </c>
      <c r="M7" s="17">
        <f>L7/$L$11</f>
        <v>0.72734656396937269</v>
      </c>
    </row>
    <row r="8" spans="2:13" ht="45.75" thickBot="1" x14ac:dyDescent="0.3">
      <c r="B8" s="7"/>
      <c r="C8" s="8" t="s">
        <v>8</v>
      </c>
      <c r="D8" s="5">
        <v>6000</v>
      </c>
      <c r="E8" s="4" t="s">
        <v>9</v>
      </c>
      <c r="G8" s="8" t="s">
        <v>28</v>
      </c>
      <c r="H8" s="5">
        <v>6000</v>
      </c>
      <c r="I8" s="4" t="s">
        <v>29</v>
      </c>
      <c r="K8" s="8" t="s">
        <v>61</v>
      </c>
      <c r="L8" s="5">
        <v>216000</v>
      </c>
      <c r="M8" s="17">
        <f t="shared" ref="M8:M11" si="0">L8/$L$11</f>
        <v>0.16365297689310884</v>
      </c>
    </row>
    <row r="9" spans="2:13" ht="45.75" thickBot="1" x14ac:dyDescent="0.3">
      <c r="B9" s="7"/>
      <c r="C9" s="8" t="s">
        <v>10</v>
      </c>
      <c r="D9" s="5">
        <v>7000</v>
      </c>
      <c r="E9" s="4" t="s">
        <v>11</v>
      </c>
      <c r="G9" s="8" t="s">
        <v>30</v>
      </c>
      <c r="H9" s="5">
        <v>4500</v>
      </c>
      <c r="I9" s="4" t="s">
        <v>31</v>
      </c>
      <c r="K9" s="8" t="s">
        <v>62</v>
      </c>
      <c r="L9" s="5">
        <v>78000</v>
      </c>
      <c r="M9" s="17">
        <f t="shared" si="0"/>
        <v>5.9096908322511528E-2</v>
      </c>
    </row>
    <row r="10" spans="2:13" ht="30.75" thickBot="1" x14ac:dyDescent="0.3">
      <c r="B10" s="7"/>
      <c r="C10" s="8" t="s">
        <v>12</v>
      </c>
      <c r="D10" s="5">
        <v>4000</v>
      </c>
      <c r="E10" s="4" t="s">
        <v>13</v>
      </c>
      <c r="G10" s="8" t="s">
        <v>32</v>
      </c>
      <c r="H10" s="5">
        <v>1500</v>
      </c>
      <c r="I10" s="4" t="s">
        <v>33</v>
      </c>
      <c r="K10" s="8" t="s">
        <v>66</v>
      </c>
      <c r="L10" s="5">
        <v>65866</v>
      </c>
      <c r="M10" s="17">
        <f t="shared" si="0"/>
        <v>4.9903550815006976E-2</v>
      </c>
    </row>
    <row r="11" spans="2:13" ht="42.75" thickBot="1" x14ac:dyDescent="0.3">
      <c r="B11" s="7"/>
      <c r="C11" s="8" t="s">
        <v>14</v>
      </c>
      <c r="D11" s="5">
        <v>20000</v>
      </c>
      <c r="E11" s="4" t="s">
        <v>49</v>
      </c>
      <c r="G11" s="8" t="s">
        <v>34</v>
      </c>
      <c r="H11" s="5">
        <v>2000</v>
      </c>
      <c r="I11" s="4" t="s">
        <v>35</v>
      </c>
      <c r="K11" s="8" t="s">
        <v>63</v>
      </c>
      <c r="L11" s="5">
        <f>SUM(L7:L10)</f>
        <v>1319866</v>
      </c>
      <c r="M11" s="21">
        <f t="shared" si="0"/>
        <v>1</v>
      </c>
    </row>
    <row r="12" spans="2:13" ht="42.75" thickBot="1" x14ac:dyDescent="0.3">
      <c r="B12" s="7"/>
      <c r="C12" s="8" t="s">
        <v>37</v>
      </c>
      <c r="D12" s="6">
        <f>SUM(D7:D11)</f>
        <v>50000</v>
      </c>
      <c r="E12" s="4" t="s">
        <v>22</v>
      </c>
      <c r="G12" s="8" t="s">
        <v>37</v>
      </c>
      <c r="H12" s="6">
        <f>SUM(H7:H11)</f>
        <v>18000</v>
      </c>
      <c r="I12" s="4"/>
      <c r="K12" s="8" t="s">
        <v>64</v>
      </c>
      <c r="L12" s="5">
        <f>L11*M12</f>
        <v>197979.9</v>
      </c>
      <c r="M12" s="22">
        <v>0.15</v>
      </c>
    </row>
    <row r="13" spans="2:13" ht="21.75" thickBot="1" x14ac:dyDescent="0.3">
      <c r="C13" s="8" t="s">
        <v>16</v>
      </c>
      <c r="D13" s="10">
        <v>12</v>
      </c>
      <c r="E13" s="4"/>
      <c r="G13" s="8" t="s">
        <v>16</v>
      </c>
      <c r="H13" s="10">
        <v>12</v>
      </c>
      <c r="I13" s="4"/>
      <c r="K13" s="8" t="s">
        <v>17</v>
      </c>
      <c r="L13" s="12">
        <f>L11+L12</f>
        <v>1517845.9</v>
      </c>
      <c r="M13" s="10"/>
    </row>
    <row r="14" spans="2:13" ht="21.75" thickBot="1" x14ac:dyDescent="0.3">
      <c r="C14" s="8" t="s">
        <v>21</v>
      </c>
      <c r="D14" s="5">
        <f>+D12*D13</f>
        <v>600000</v>
      </c>
      <c r="E14" s="4"/>
      <c r="G14" s="8" t="s">
        <v>17</v>
      </c>
      <c r="H14" s="12">
        <f>+H12*H13</f>
        <v>216000</v>
      </c>
      <c r="I14" s="4"/>
    </row>
    <row r="15" spans="2:13" ht="30.75" thickBot="1" x14ac:dyDescent="0.3">
      <c r="C15" s="8" t="s">
        <v>18</v>
      </c>
      <c r="D15" s="11">
        <v>0.6</v>
      </c>
      <c r="E15" s="4" t="s">
        <v>19</v>
      </c>
      <c r="H15" s="1">
        <v>96000</v>
      </c>
    </row>
    <row r="16" spans="2:13" ht="21.75" thickBot="1" x14ac:dyDescent="0.3">
      <c r="C16" s="8" t="s">
        <v>20</v>
      </c>
      <c r="D16" s="5">
        <f>+D14*D15</f>
        <v>360000</v>
      </c>
      <c r="H16" s="23">
        <f>H14-H15</f>
        <v>120000</v>
      </c>
    </row>
    <row r="17" spans="3:18" ht="21.75" thickBot="1" x14ac:dyDescent="0.3">
      <c r="C17" s="8" t="s">
        <v>17</v>
      </c>
      <c r="D17" s="12">
        <f>+D14+D16</f>
        <v>960000</v>
      </c>
    </row>
    <row r="19" spans="3:18" ht="24" thickBot="1" x14ac:dyDescent="0.4">
      <c r="C19" s="9" t="s">
        <v>48</v>
      </c>
      <c r="G19" s="9" t="s">
        <v>81</v>
      </c>
      <c r="K19" s="9" t="s">
        <v>68</v>
      </c>
    </row>
    <row r="20" spans="3:18" ht="42.75" thickBot="1" x14ac:dyDescent="0.3">
      <c r="C20" s="8" t="s">
        <v>23</v>
      </c>
      <c r="D20" s="8" t="s">
        <v>24</v>
      </c>
      <c r="E20" s="8" t="s">
        <v>25</v>
      </c>
      <c r="G20" s="8" t="s">
        <v>50</v>
      </c>
      <c r="H20" s="8" t="s">
        <v>51</v>
      </c>
      <c r="I20" s="15" t="s">
        <v>25</v>
      </c>
      <c r="K20" s="8" t="s">
        <v>58</v>
      </c>
      <c r="L20" s="8" t="s">
        <v>59</v>
      </c>
      <c r="M20" s="8" t="s">
        <v>67</v>
      </c>
    </row>
    <row r="21" spans="3:18" ht="105.75" thickBot="1" x14ac:dyDescent="0.3">
      <c r="C21" s="8" t="s">
        <v>38</v>
      </c>
      <c r="D21" s="5">
        <v>500</v>
      </c>
      <c r="E21" s="4" t="s">
        <v>39</v>
      </c>
      <c r="G21" s="8" t="s">
        <v>28</v>
      </c>
      <c r="H21" s="13">
        <v>4500</v>
      </c>
      <c r="I21" s="16" t="s">
        <v>53</v>
      </c>
      <c r="J21" s="14"/>
      <c r="K21" s="8" t="s">
        <v>60</v>
      </c>
      <c r="L21" s="19">
        <f>H32</f>
        <v>780000</v>
      </c>
      <c r="M21" s="17">
        <f>L21/$L$25</f>
        <v>0.57184750733137835</v>
      </c>
    </row>
    <row r="22" spans="3:18" ht="45.75" thickBot="1" x14ac:dyDescent="0.3">
      <c r="C22" s="8" t="s">
        <v>40</v>
      </c>
      <c r="D22" s="5">
        <v>1000</v>
      </c>
      <c r="E22" s="4" t="s">
        <v>41</v>
      </c>
      <c r="G22" s="8" t="s">
        <v>34</v>
      </c>
      <c r="H22" s="13">
        <v>6000</v>
      </c>
      <c r="I22" s="16"/>
      <c r="J22" s="14"/>
      <c r="K22" s="8" t="s">
        <v>79</v>
      </c>
      <c r="L22" s="20">
        <v>380000</v>
      </c>
      <c r="M22" s="17">
        <f t="shared" ref="M22:M25" si="1">L22/$L$25</f>
        <v>0.27859237536656889</v>
      </c>
    </row>
    <row r="23" spans="3:18" ht="63.75" thickBot="1" x14ac:dyDescent="0.3">
      <c r="C23" s="8" t="s">
        <v>42</v>
      </c>
      <c r="D23" s="5">
        <v>1500</v>
      </c>
      <c r="E23" s="4" t="s">
        <v>43</v>
      </c>
      <c r="G23" s="8" t="s">
        <v>55</v>
      </c>
      <c r="H23" s="12">
        <f>(H21+H22)*12</f>
        <v>126000</v>
      </c>
      <c r="I23" s="16" t="s">
        <v>56</v>
      </c>
      <c r="K23" s="8" t="s">
        <v>62</v>
      </c>
      <c r="L23" s="20">
        <v>78000</v>
      </c>
      <c r="M23" s="17">
        <f t="shared" si="1"/>
        <v>5.7184750733137828E-2</v>
      </c>
    </row>
    <row r="24" spans="3:18" ht="21.75" thickBot="1" x14ac:dyDescent="0.3">
      <c r="C24" s="8" t="s">
        <v>44</v>
      </c>
      <c r="D24" s="5">
        <v>500</v>
      </c>
      <c r="E24" s="4" t="s">
        <v>45</v>
      </c>
      <c r="K24" s="8" t="s">
        <v>80</v>
      </c>
      <c r="L24" s="20">
        <f>H23</f>
        <v>126000</v>
      </c>
      <c r="M24" s="17">
        <f t="shared" si="1"/>
        <v>9.2375366568914957E-2</v>
      </c>
    </row>
    <row r="25" spans="3:18" ht="30.75" thickBot="1" x14ac:dyDescent="0.4">
      <c r="C25" s="8" t="s">
        <v>46</v>
      </c>
      <c r="D25" s="5">
        <v>3000</v>
      </c>
      <c r="E25" s="4" t="s">
        <v>47</v>
      </c>
      <c r="G25" s="9" t="s">
        <v>74</v>
      </c>
      <c r="K25" s="8" t="s">
        <v>63</v>
      </c>
      <c r="L25" s="5">
        <f>SUM(L21:L24)</f>
        <v>1364000</v>
      </c>
      <c r="M25" s="18">
        <f t="shared" si="1"/>
        <v>1</v>
      </c>
    </row>
    <row r="26" spans="3:18" ht="42.75" thickBot="1" x14ac:dyDescent="0.3">
      <c r="C26" s="8" t="s">
        <v>0</v>
      </c>
      <c r="D26" s="5">
        <f>SUM(D21:D25)</f>
        <v>6500</v>
      </c>
      <c r="E26" s="4"/>
      <c r="G26" s="8" t="s">
        <v>69</v>
      </c>
      <c r="H26" s="8" t="s">
        <v>4</v>
      </c>
      <c r="I26" s="15" t="s">
        <v>5</v>
      </c>
      <c r="K26" s="8" t="s">
        <v>64</v>
      </c>
      <c r="L26" s="5">
        <f>L25*M26</f>
        <v>204600</v>
      </c>
      <c r="M26" s="22">
        <v>0.15</v>
      </c>
    </row>
    <row r="27" spans="3:18" ht="39.6" customHeight="1" thickBot="1" x14ac:dyDescent="0.3">
      <c r="C27" s="8" t="s">
        <v>16</v>
      </c>
      <c r="D27" s="10">
        <v>12</v>
      </c>
      <c r="G27" s="8" t="s">
        <v>70</v>
      </c>
      <c r="H27" s="5">
        <v>45000</v>
      </c>
      <c r="I27" s="4" t="s">
        <v>71</v>
      </c>
      <c r="K27" s="8" t="s">
        <v>17</v>
      </c>
      <c r="L27" s="12">
        <f>L25+L26</f>
        <v>1568600</v>
      </c>
      <c r="M27" s="10"/>
    </row>
    <row r="28" spans="3:18" ht="21.75" thickBot="1" x14ac:dyDescent="0.3">
      <c r="C28" s="8" t="s">
        <v>17</v>
      </c>
      <c r="D28" s="12">
        <f>+D26*D27</f>
        <v>78000</v>
      </c>
      <c r="G28" s="8" t="s">
        <v>72</v>
      </c>
      <c r="H28" s="5">
        <v>10000</v>
      </c>
      <c r="I28" s="4" t="s">
        <v>71</v>
      </c>
    </row>
    <row r="29" spans="3:18" ht="21.75" thickBot="1" x14ac:dyDescent="0.3">
      <c r="G29" s="8" t="s">
        <v>73</v>
      </c>
      <c r="H29" s="5">
        <v>10000</v>
      </c>
      <c r="I29" s="4" t="s">
        <v>71</v>
      </c>
      <c r="K29" s="24"/>
      <c r="L29" s="24"/>
      <c r="M29" s="24"/>
      <c r="N29" s="24"/>
    </row>
    <row r="30" spans="3:18" ht="21.75" thickBot="1" x14ac:dyDescent="0.3">
      <c r="G30" s="8" t="s">
        <v>0</v>
      </c>
      <c r="H30" s="5">
        <f>SUM(H27:H29)</f>
        <v>65000</v>
      </c>
      <c r="I30" s="4"/>
      <c r="J30" s="7"/>
      <c r="K30" s="29" t="s">
        <v>85</v>
      </c>
      <c r="L30" s="29" t="s">
        <v>82</v>
      </c>
      <c r="M30" s="29" t="s">
        <v>86</v>
      </c>
      <c r="N30" s="29" t="s">
        <v>83</v>
      </c>
      <c r="O30" s="29" t="s">
        <v>86</v>
      </c>
      <c r="R30" s="1">
        <v>1568600</v>
      </c>
    </row>
    <row r="31" spans="3:18" ht="21.75" thickBot="1" x14ac:dyDescent="0.3">
      <c r="G31" s="8" t="s">
        <v>22</v>
      </c>
      <c r="H31" s="10">
        <v>12</v>
      </c>
      <c r="J31" s="7"/>
      <c r="K31" s="30" t="s">
        <v>60</v>
      </c>
      <c r="L31" s="26">
        <v>65000</v>
      </c>
      <c r="M31" s="28">
        <f>L31/$L$37</f>
        <v>0.40711936948692518</v>
      </c>
      <c r="N31" s="26">
        <v>65000</v>
      </c>
      <c r="O31" s="28">
        <f>N31/$N$37</f>
        <v>0.63866164816169102</v>
      </c>
      <c r="R31" s="1">
        <v>1523748</v>
      </c>
    </row>
    <row r="32" spans="3:18" ht="21.75" thickBot="1" x14ac:dyDescent="0.3">
      <c r="G32" s="8" t="s">
        <v>17</v>
      </c>
      <c r="H32" s="12">
        <f>H30*H31</f>
        <v>780000</v>
      </c>
      <c r="J32" s="7"/>
      <c r="K32" s="30" t="s">
        <v>79</v>
      </c>
      <c r="L32" s="26">
        <f>380000/6</f>
        <v>63333.333333333336</v>
      </c>
      <c r="M32" s="28">
        <f>L32/$L$37</f>
        <v>0.39668041129495274</v>
      </c>
      <c r="N32" s="26">
        <v>0</v>
      </c>
      <c r="O32" s="28">
        <f t="shared" ref="O32:O37" si="2">N32/$N$37</f>
        <v>0</v>
      </c>
      <c r="R32" s="1">
        <f>R30-R31</f>
        <v>44852</v>
      </c>
    </row>
    <row r="33" spans="10:18" x14ac:dyDescent="0.25">
      <c r="J33" s="7"/>
      <c r="K33" s="30" t="s">
        <v>62</v>
      </c>
      <c r="L33" s="26">
        <v>0</v>
      </c>
      <c r="M33" s="28">
        <f>L33/$L$37</f>
        <v>0</v>
      </c>
      <c r="N33" s="26">
        <f>78000/12</f>
        <v>6500</v>
      </c>
      <c r="O33" s="28">
        <f t="shared" si="2"/>
        <v>6.3866164816169108E-2</v>
      </c>
      <c r="R33" s="1">
        <f>+R32/6</f>
        <v>7475.333333333333</v>
      </c>
    </row>
    <row r="34" spans="10:18" x14ac:dyDescent="0.25">
      <c r="J34" s="7"/>
      <c r="K34" s="30" t="s">
        <v>80</v>
      </c>
      <c r="L34" s="26">
        <v>10500</v>
      </c>
      <c r="M34" s="28">
        <f>L34/$L$37</f>
        <v>6.5765436609426381E-2</v>
      </c>
      <c r="N34" s="26">
        <v>10500</v>
      </c>
      <c r="O34" s="28">
        <f t="shared" si="2"/>
        <v>0.10316842008765778</v>
      </c>
    </row>
    <row r="35" spans="10:18" x14ac:dyDescent="0.25">
      <c r="J35" s="7"/>
      <c r="K35" s="30" t="s">
        <v>63</v>
      </c>
      <c r="L35" s="26">
        <f>+L31+L32+L33+L34</f>
        <v>138833.33333333334</v>
      </c>
      <c r="M35" s="28"/>
      <c r="N35" s="26">
        <f>+N31+N32+N33+N34</f>
        <v>82000</v>
      </c>
      <c r="O35" s="28"/>
    </row>
    <row r="36" spans="10:18" x14ac:dyDescent="0.25">
      <c r="J36" s="7"/>
      <c r="K36" s="30" t="s">
        <v>84</v>
      </c>
      <c r="L36" s="26">
        <f>+L35*0.15</f>
        <v>20825</v>
      </c>
      <c r="M36" s="28">
        <f>L36/$L$37</f>
        <v>0.13043478260869565</v>
      </c>
      <c r="N36" s="26">
        <f>(N35*0.15)+7475.33</f>
        <v>19775.330000000002</v>
      </c>
      <c r="O36" s="28">
        <f t="shared" si="2"/>
        <v>0.19430376693448206</v>
      </c>
    </row>
    <row r="37" spans="10:18" x14ac:dyDescent="0.25">
      <c r="J37" s="7"/>
      <c r="K37" s="30" t="s">
        <v>0</v>
      </c>
      <c r="L37" s="27">
        <f>+L35+L36</f>
        <v>159658.33333333334</v>
      </c>
      <c r="M37" s="28">
        <f>L37/$L$37</f>
        <v>1</v>
      </c>
      <c r="N37" s="27">
        <f>+N35+N36</f>
        <v>101775.33</v>
      </c>
      <c r="O37" s="28">
        <f t="shared" si="2"/>
        <v>1</v>
      </c>
    </row>
    <row r="38" spans="10:18" x14ac:dyDescent="0.25">
      <c r="K38" s="25"/>
      <c r="L38" s="25"/>
      <c r="M38" s="25"/>
      <c r="N38" s="25"/>
    </row>
  </sheetData>
  <pageMargins left="0.7" right="0.7" top="0.75" bottom="0.75" header="0.3" footer="0.3"/>
  <pageSetup orientation="portrait" horizontalDpi="300" verticalDpi="300" r:id="rId1"/>
  <ignoredErrors>
    <ignoredError sqref="M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Hoja1</vt:lpstr>
      <vt:lpstr>Formato edufin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Miguel Torres 2</dc:creator>
  <cp:lastModifiedBy>Luis Miguel Torres 2</cp:lastModifiedBy>
  <dcterms:created xsi:type="dcterms:W3CDTF">2023-05-23T17:42:07Z</dcterms:created>
  <dcterms:modified xsi:type="dcterms:W3CDTF">2024-04-02T14:28:06Z</dcterms:modified>
</cp:coreProperties>
</file>